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<sst xmlns="http://schemas.openxmlformats.org/spreadsheetml/2006/main" count="1477" uniqueCount="307">
  <si>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</si>
  <si>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</si>
  <si>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</si>
  <si>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</si>
  <si>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</si>
  <si>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</si>
  <si>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</si>
  <si>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</si>
  <si>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</si>
  <si>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</si>
  <si>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</si>
  <si>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</si>
  <si>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</si>
  <si>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</si>
  <si>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</si>
  <si>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</si>
  <si>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</si>
  <si>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</si>
  <si>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</si>
  <si>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</si>
  <si>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</si>
  <si>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</si>
  <si>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</si>
  <si>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</si>
  <si>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</si>
  <si>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</si>
  <si>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</si>
  <si>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</si>
  <si>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</si>
  <si>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</si>
  <si>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</si>
  <si>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</si>
  <si>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</si>
  <si>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</si>
  <si>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</si>
  <si>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</si>
  <si>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</si>
  <si>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</si>
  <si>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</si>
  <si>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</si>
  <si>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</si>
  <si>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</si>
  <si>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</si>
  <si>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</si>
  <si>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</si>
  <si>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</si>
  <si>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</si>
  <si>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</si>
  <si>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</si>
  <si>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</si>
  <si>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</si>
  <si>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</si>
  <si>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</si>
  <si>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</si>
  <si>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</si>
  <si>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</si>
  <si>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</si>
  <si>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</si>
  <si>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</si>
  <si>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</si>
  <si>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</si>
  <si>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</si>
  <si>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</si>
  <si>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</si>
  <si>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</si>
  <si>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</si>
  <si>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</si>
  <si>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</si>
  <si>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</si>
  <si>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</si>
  <si>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</si>
  <si>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</si>
  <si>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</si>
  <si>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</si>
  <si>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</si>
  <si>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</si>
  <si>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</si>
  <si>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</si>
  <si>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</si>
  <si>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</si>
  <si>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</si>
  <si>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</si>
  <si>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</si>
  <si>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</si>
  <si>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</si>
  <si>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</si>
  <si>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</si>
  <si>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</si>
  <si>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</si>
  <si>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</si>
  <si>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</si>
  <si>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</si>
  <si>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</si>
  <si>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</si>
  <si>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</si>
  <si>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</si>
  <si>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</si>
  <si>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</si>
  <si>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</si>
  <si>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</si>
  <si>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</si>
  <si>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</si>
  <si>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</si>
  <si>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</si>
  <si>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</si>
  <si>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</si>
  <si>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</si>
  <si>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</si>
  <si>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</si>
  <si>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</si>
  <si>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</si>
  <si>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</si>
  <si>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</si>
  <si>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</si>
  <si>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</si>
  <si>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</si>
  <si>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</si>
  <si>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</si>
  <si>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</si>
  <si>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</si>
  <si>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</si>
  <si>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</si>
  <si>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</si>
  <si>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</si>
  <si>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</si>
  <si>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</si>
  <si>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</si>
  <si>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</si>
  <si>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</si>
  <si>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</si>
  <si>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</si>
  <si>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</si>
  <si>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</si>
  <si>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</si>
  <si>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</si>
  <si>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</si>
  <si>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</si>
  <si>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</si>
  <si>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</si>
  <si>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</si>
  <si>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</si>
  <si>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</si>
  <si>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</si>
  <si>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</si>
  <si>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</si>
  <si>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</si>
  <si>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</si>
  <si>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</si>
  <si>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</si>
  <si>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</si>
  <si>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</si>
  <si>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</si>
  <si>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</si>
  <si>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</si>
  <si>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</si>
  <si>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</si>
  <si>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</si>
  <si>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</si>
  <si>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</si>
  <si>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</si>
  <si>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</si>
  <si>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</si>
  <si>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</si>
  <si>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</si>
  <si>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</si>
  <si>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</si>
  <si>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</si>
  <si>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</si>
  <si>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</si>
  <si>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</si>
  <si>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</si>
  <si>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</si>
  <si>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</si>
  <si>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</si>
  <si>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</si>
  <si>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</si>
  <si>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</si>
  <si>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</si>
  <si>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</si>
  <si>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</si>
  <si>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</si>
  <si>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</si>
  <si>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</si>
  <si>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</si>
  <si>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</si>
  <si>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</si>
  <si>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</si>
  <si>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</si>
  <si>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</si>
  <si>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</si>
  <si>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</si>
  <si>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</si>
  <si>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</si>
  <si>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</si>
  <si>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</si>
  <si>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</si>
  <si>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</si>
  <si>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</si>
  <si>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</si>
  <si>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</si>
  <si>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</si>
  <si>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</si>
  <si>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</si>
  <si>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</si>
  <si>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</si>
  <si>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</si>
  <si>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</si>
  <si>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</si>
  <si>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</si>
  <si>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</si>
  <si>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</si>
  <si>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</si>
  <si>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</si>
  <si>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</si>
  <si>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</si>
  <si>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</si>
  <si>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</si>
  <si>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</si>
  <si>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</si>
  <si>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</si>
  <si>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</si>
  <si>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</si>
  <si>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</si>
  <si>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</si>
  <si>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</si>
  <si>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</si>
  <si>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</si>
  <si>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</si>
  <si>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</si>
  <si>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</si>
  <si>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</si>
  <si>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</si>
  <si>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</si>
  <si>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</si>
  <si>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</si>
  <si>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</si>
  <si>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</si>
  <si>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</si>
  <si>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</si>
  <si>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</si>
  <si>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</si>
  <si>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</si>
  <si>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</si>
  <si>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</si>
  <si>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</si>
  <si>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</si>
  <si>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</si>
  <si>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</si>
  <si>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</si>
  <si>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</si>
  <si>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</si>
  <si>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</si>
  <si>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</si>
  <si>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</si>
  <si>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</si>
  <si>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</si>
  <si>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</si>
  <si>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</si>
  <si>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</si>
  <si>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</si>
  <si>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</si>
  <si>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</si>
  <si>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</si>
  <si>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</si>
  <si>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</si>
  <si>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</si>
  <si>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</si>
  <si>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</si>
  <si>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</si>
  <si>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</si>
  <si>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</si>
  <si>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</si>
  <si>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</si>
  <si>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</si>
  <si>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</si>
  <si>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</si>
  <si>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</si>
  <si>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</si>
  <si>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</si>
  <si>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</si>
  <si>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</si>
  <si>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</si>
  <si>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</si>
  <si>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</si>
  <si>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</si>
  <si>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</si>
  <si>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</si>
  <si>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</si>
  <si>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</si>
  <si>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</si>
  <si>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</si>
  <si>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</si>
  <si>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</si>
  <si>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</si>
  <si>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</si>
  <si>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</si>
  <si>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</si>
  <si>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</si>
  <si>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</si>
  <si>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</si>
  <si>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</si>
  <si>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</si>
  <si>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</si>
  <si>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</si>
  <si>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</si>
  <si>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04.09.2015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</si>
  <si>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03.09.15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</si>
</sst>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7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3" sqref="D8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305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303</v>
      </c>
      <c r="N3" s="241" t="s">
        <v>304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298</v>
      </c>
      <c r="F4" s="243" t="s">
        <v>116</v>
      </c>
      <c r="G4" s="245" t="s">
        <v>299</v>
      </c>
      <c r="H4" s="247" t="s">
        <v>300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306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302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431295.73000000004</v>
      </c>
      <c r="G8" s="18">
        <f aca="true" t="shared" si="0" ref="G8:G54">F8-E8</f>
        <v>-27456.76999999996</v>
      </c>
      <c r="H8" s="45">
        <f>F8/E8*100</f>
        <v>94.0149056408412</v>
      </c>
      <c r="I8" s="31">
        <f aca="true" t="shared" si="1" ref="I8:I54">F8-D8</f>
        <v>-140993.26999999996</v>
      </c>
      <c r="J8" s="31">
        <f aca="true" t="shared" si="2" ref="J8:J14">F8/D8*100</f>
        <v>75.3632744994225</v>
      </c>
      <c r="K8" s="18">
        <f>K9+K15+K18+K19+K20+K32</f>
        <v>108651.406</v>
      </c>
      <c r="L8" s="18"/>
      <c r="M8" s="18">
        <f>M9+M15+M18+M19+M20+M32+M17</f>
        <v>45676.399999999994</v>
      </c>
      <c r="N8" s="18">
        <f>N9+N15+N18+N19+N20+N32+N17</f>
        <v>1783.6200000000372</v>
      </c>
      <c r="O8" s="31">
        <f aca="true" t="shared" si="3" ref="O8:O54">N8-M8</f>
        <v>-43892.779999999955</v>
      </c>
      <c r="P8" s="31">
        <f>F8/M8*100</f>
        <v>944.2419498909724</v>
      </c>
      <c r="Q8" s="31">
        <f>N8-33748.16</f>
        <v>-31964.539999999964</v>
      </c>
      <c r="R8" s="125">
        <f>N8/33748.16</f>
        <v>0.052850881351754794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234742.18</v>
      </c>
      <c r="G9" s="43">
        <f t="shared" si="0"/>
        <v>-13872.369999999995</v>
      </c>
      <c r="H9" s="35">
        <f aca="true" t="shared" si="4" ref="H9:H32">F9/E9*100</f>
        <v>94.42012947351634</v>
      </c>
      <c r="I9" s="50">
        <f t="shared" si="1"/>
        <v>-77947.82</v>
      </c>
      <c r="J9" s="50">
        <f t="shared" si="2"/>
        <v>75.07185391282101</v>
      </c>
      <c r="K9" s="132">
        <f>F9-250278.43/75*60</f>
        <v>34519.43599999999</v>
      </c>
      <c r="L9" s="132">
        <f>F9/(250278.43/75*60)*100</f>
        <v>117.24051689152756</v>
      </c>
      <c r="M9" s="35">
        <f>E9-серпень!E9</f>
        <v>26089.899999999994</v>
      </c>
      <c r="N9" s="35">
        <f>F9-серпень!F9</f>
        <v>1031.1699999999837</v>
      </c>
      <c r="O9" s="47">
        <f t="shared" si="3"/>
        <v>-25058.73000000001</v>
      </c>
      <c r="P9" s="50">
        <f aca="true" t="shared" si="5" ref="P9:P32">N9/M9*100</f>
        <v>3.9523723739837404</v>
      </c>
      <c r="Q9" s="132">
        <f>N9-26568.11</f>
        <v>-25536.940000000017</v>
      </c>
      <c r="R9" s="133">
        <f>N9/26568.11</f>
        <v>0.03881232048497178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207556.01</v>
      </c>
      <c r="G10" s="135">
        <f t="shared" si="0"/>
        <v>-10934.23999999999</v>
      </c>
      <c r="H10" s="137">
        <f t="shared" si="4"/>
        <v>94.99554785625446</v>
      </c>
      <c r="I10" s="136">
        <f t="shared" si="1"/>
        <v>-32853.98999999999</v>
      </c>
      <c r="J10" s="136">
        <f t="shared" si="2"/>
        <v>86.33418327024667</v>
      </c>
      <c r="K10" s="138">
        <f>F10-222647.03/75*60</f>
        <v>29438.386000000028</v>
      </c>
      <c r="L10" s="138">
        <f>F10/(222647.03/75*60)*100</f>
        <v>116.52749758215954</v>
      </c>
      <c r="M10" s="137">
        <f>E10-серпень!E10</f>
        <v>22490</v>
      </c>
      <c r="N10" s="137">
        <f>F10-серпень!F10</f>
        <v>937.8000000000175</v>
      </c>
      <c r="O10" s="138">
        <f t="shared" si="3"/>
        <v>-21552.199999999983</v>
      </c>
      <c r="P10" s="136">
        <f t="shared" si="5"/>
        <v>4.169853268119242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12408.7</v>
      </c>
      <c r="G11" s="135">
        <f t="shared" si="0"/>
        <v>-4379.200000000001</v>
      </c>
      <c r="H11" s="137">
        <f t="shared" si="4"/>
        <v>73.9145455953395</v>
      </c>
      <c r="I11" s="136">
        <f t="shared" si="1"/>
        <v>-11291.3</v>
      </c>
      <c r="J11" s="136">
        <f t="shared" si="2"/>
        <v>52.35738396624473</v>
      </c>
      <c r="K11" s="138">
        <f>F11-15880.56/75*60</f>
        <v>-295.7479999999996</v>
      </c>
      <c r="L11" s="138">
        <f>F11/(15880.56/75*60)*100</f>
        <v>97.67209090863295</v>
      </c>
      <c r="M11" s="137">
        <f>E11-серпень!E11</f>
        <v>2099.9000000000015</v>
      </c>
      <c r="N11" s="137">
        <f>F11-серпень!F11</f>
        <v>0.1400000000012369</v>
      </c>
      <c r="O11" s="138">
        <f t="shared" si="3"/>
        <v>-2099.76</v>
      </c>
      <c r="P11" s="136">
        <f t="shared" si="5"/>
        <v>0.006666984142160904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3360.04</v>
      </c>
      <c r="G12" s="135">
        <f t="shared" si="0"/>
        <v>-548.96</v>
      </c>
      <c r="H12" s="137">
        <f t="shared" si="4"/>
        <v>85.95651061652596</v>
      </c>
      <c r="I12" s="136">
        <f t="shared" si="1"/>
        <v>-2439.96</v>
      </c>
      <c r="J12" s="136">
        <f t="shared" si="2"/>
        <v>57.93172413793103</v>
      </c>
      <c r="K12" s="138">
        <f>F12-4856.12/75*60</f>
        <v>-524.8559999999998</v>
      </c>
      <c r="L12" s="138">
        <f>F12/(4856.12*60)*100</f>
        <v>1.1531977518402894</v>
      </c>
      <c r="M12" s="137">
        <f>E12-серпень!E12</f>
        <v>660</v>
      </c>
      <c r="N12" s="137">
        <f>F12-серпень!F12</f>
        <v>28.679999999999836</v>
      </c>
      <c r="O12" s="138">
        <f t="shared" si="3"/>
        <v>-631.3200000000002</v>
      </c>
      <c r="P12" s="136">
        <f t="shared" si="5"/>
        <v>4.345454545454521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5041.28</v>
      </c>
      <c r="G13" s="135">
        <f t="shared" si="0"/>
        <v>-1182.12</v>
      </c>
      <c r="H13" s="137">
        <f t="shared" si="4"/>
        <v>81.00523829418003</v>
      </c>
      <c r="I13" s="136">
        <f t="shared" si="1"/>
        <v>-3358.7200000000003</v>
      </c>
      <c r="J13" s="136">
        <f t="shared" si="2"/>
        <v>60.01523809523809</v>
      </c>
      <c r="K13" s="138">
        <f>F13-6838.4/75*60</f>
        <v>-429.4399999999996</v>
      </c>
      <c r="L13" s="138">
        <f>F13/(6838.4/75*60)*100</f>
        <v>92.15021057557324</v>
      </c>
      <c r="M13" s="137">
        <f>E13-серпень!E13</f>
        <v>450</v>
      </c>
      <c r="N13" s="137">
        <f>F13-серпень!F13</f>
        <v>64.55000000000018</v>
      </c>
      <c r="O13" s="138">
        <f t="shared" si="3"/>
        <v>-385.4499999999998</v>
      </c>
      <c r="P13" s="136">
        <f t="shared" si="5"/>
        <v>14.344444444444484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6376.14</v>
      </c>
      <c r="G14" s="135">
        <f t="shared" si="0"/>
        <v>3172.1400000000003</v>
      </c>
      <c r="H14" s="137">
        <f t="shared" si="4"/>
        <v>199.0056179775281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137">
        <f>E14-липень!E14</f>
        <v>780</v>
      </c>
      <c r="N14" s="137">
        <f>F14-серпень!F14</f>
        <v>0</v>
      </c>
      <c r="O14" s="138">
        <f t="shared" si="3"/>
        <v>-780</v>
      </c>
      <c r="P14" s="136">
        <f t="shared" si="5"/>
        <v>0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-734.58</v>
      </c>
      <c r="G15" s="43">
        <f t="shared" si="0"/>
        <v>-905.98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E15-серпень!E15</f>
        <v>0.09999999999999432</v>
      </c>
      <c r="N15" s="35">
        <f>F15-серпень!F15</f>
        <v>0</v>
      </c>
      <c r="O15" s="47">
        <f t="shared" si="3"/>
        <v>-0.09999999999999432</v>
      </c>
      <c r="P15" s="50"/>
      <c r="Q15" s="50">
        <f>N15-358.81</f>
        <v>-358.81</v>
      </c>
      <c r="R15" s="126">
        <f>N15/358.81</f>
        <v>0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E16-серпень!E16</f>
        <v>0</v>
      </c>
      <c r="N16" s="35">
        <f>F16-серпень!F16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43883.9</v>
      </c>
      <c r="G19" s="43">
        <f t="shared" si="0"/>
        <v>-6838.8499999999985</v>
      </c>
      <c r="H19" s="35">
        <f t="shared" si="4"/>
        <v>86.51719396128956</v>
      </c>
      <c r="I19" s="50">
        <f t="shared" si="1"/>
        <v>-18326.1</v>
      </c>
      <c r="J19" s="178">
        <f>F19/D19*100</f>
        <v>70.54155280501527</v>
      </c>
      <c r="K19" s="179">
        <f>F19-0</f>
        <v>43883.9</v>
      </c>
      <c r="L19" s="180"/>
      <c r="M19" s="35">
        <f>E19-серпень!E19</f>
        <v>6800</v>
      </c>
      <c r="N19" s="35">
        <f>F19-серпень!F19</f>
        <v>6.239999999997963</v>
      </c>
      <c r="O19" s="47">
        <f t="shared" si="3"/>
        <v>-6793.760000000002</v>
      </c>
      <c r="P19" s="50">
        <f t="shared" si="5"/>
        <v>0.09176470588232298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147814.23000000004</v>
      </c>
      <c r="G20" s="43">
        <f t="shared" si="0"/>
        <v>-5664.169999999955</v>
      </c>
      <c r="H20" s="35">
        <f t="shared" si="4"/>
        <v>96.30946765147411</v>
      </c>
      <c r="I20" s="50">
        <f t="shared" si="1"/>
        <v>-42055.76999999996</v>
      </c>
      <c r="J20" s="178">
        <f aca="true" t="shared" si="6" ref="J20:J46">F20/D20*100</f>
        <v>77.8502291041239</v>
      </c>
      <c r="K20" s="178">
        <f>K21+K25+K26+K27</f>
        <v>32832.28000000001</v>
      </c>
      <c r="L20" s="136"/>
      <c r="M20" s="35">
        <f>E20-серпень!E20</f>
        <v>12786.100000000006</v>
      </c>
      <c r="N20" s="35">
        <f>F20-серпень!F20</f>
        <v>746.0600000000559</v>
      </c>
      <c r="O20" s="47">
        <f t="shared" si="3"/>
        <v>-12040.03999999995</v>
      </c>
      <c r="P20" s="50">
        <f t="shared" si="5"/>
        <v>5.834930119426999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80074.15000000001</v>
      </c>
      <c r="G21" s="43">
        <f t="shared" si="0"/>
        <v>-5826.249999999985</v>
      </c>
      <c r="H21" s="35">
        <f t="shared" si="4"/>
        <v>93.2174355416273</v>
      </c>
      <c r="I21" s="50">
        <f t="shared" si="1"/>
        <v>-30225.84999999999</v>
      </c>
      <c r="J21" s="178">
        <f t="shared" si="6"/>
        <v>72.59669084315505</v>
      </c>
      <c r="K21" s="178">
        <f>K22+K23+K24</f>
        <v>25492.610000000008</v>
      </c>
      <c r="L21" s="136"/>
      <c r="M21" s="35">
        <f>E21-серпень!E21</f>
        <v>8720.099999999991</v>
      </c>
      <c r="N21" s="35">
        <f>F21-серпень!F21</f>
        <v>275.2700000000041</v>
      </c>
      <c r="O21" s="47">
        <f t="shared" si="3"/>
        <v>-8444.829999999987</v>
      </c>
      <c r="P21" s="50">
        <f t="shared" si="5"/>
        <v>3.1567298540154853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8717.35</v>
      </c>
      <c r="G22" s="135">
        <f t="shared" si="0"/>
        <v>-77.04999999999927</v>
      </c>
      <c r="H22" s="137">
        <f t="shared" si="4"/>
        <v>99.12387428363505</v>
      </c>
      <c r="I22" s="136">
        <f t="shared" si="1"/>
        <v>-1982.6499999999996</v>
      </c>
      <c r="J22" s="136">
        <f t="shared" si="6"/>
        <v>81.47056074766355</v>
      </c>
      <c r="K22" s="136">
        <f>F22-288.8</f>
        <v>8428.550000000001</v>
      </c>
      <c r="L22" s="136">
        <f>F22/288.8*100</f>
        <v>3018.4729916897504</v>
      </c>
      <c r="M22" s="137">
        <f>E22-серпень!E22</f>
        <v>171.10000000000036</v>
      </c>
      <c r="N22" s="137">
        <f>F22-серпень!F22</f>
        <v>43.61000000000058</v>
      </c>
      <c r="O22" s="138">
        <f t="shared" si="3"/>
        <v>-127.48999999999978</v>
      </c>
      <c r="P22" s="136">
        <f t="shared" si="5"/>
        <v>25.488018702513436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3162.78</v>
      </c>
      <c r="G23" s="135">
        <f t="shared" si="0"/>
        <v>1375.7800000000002</v>
      </c>
      <c r="H23" s="137"/>
      <c r="I23" s="136">
        <f t="shared" si="1"/>
        <v>1062.7800000000002</v>
      </c>
      <c r="J23" s="136">
        <f t="shared" si="6"/>
        <v>150.60857142857145</v>
      </c>
      <c r="K23" s="136">
        <f>F23-0</f>
        <v>3162.78</v>
      </c>
      <c r="L23" s="136"/>
      <c r="M23" s="137">
        <f>E23-серпень!E23</f>
        <v>309</v>
      </c>
      <c r="N23" s="137">
        <f>F23-серпень!F23</f>
        <v>45.83000000000038</v>
      </c>
      <c r="O23" s="138">
        <f t="shared" si="3"/>
        <v>-263.1699999999996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68194.02</v>
      </c>
      <c r="G24" s="135">
        <f t="shared" si="0"/>
        <v>-7124.979999999996</v>
      </c>
      <c r="H24" s="137">
        <f t="shared" si="4"/>
        <v>90.54026208526402</v>
      </c>
      <c r="I24" s="136">
        <f t="shared" si="1"/>
        <v>-29305.979999999996</v>
      </c>
      <c r="J24" s="136">
        <f t="shared" si="6"/>
        <v>69.94258461538462</v>
      </c>
      <c r="K24" s="224">
        <f>F24-54292.74</f>
        <v>13901.280000000006</v>
      </c>
      <c r="L24" s="224">
        <f>F24/54292.74*100</f>
        <v>125.60430731622682</v>
      </c>
      <c r="M24" s="137">
        <f>E24-серпень!E24</f>
        <v>8240</v>
      </c>
      <c r="N24" s="137">
        <f>F24-серпень!F24</f>
        <v>185.83000000000175</v>
      </c>
      <c r="O24" s="138">
        <f t="shared" si="3"/>
        <v>-8054.169999999998</v>
      </c>
      <c r="P24" s="136">
        <f t="shared" si="5"/>
        <v>2.2552184466019627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48.85</v>
      </c>
      <c r="G25" s="43">
        <f t="shared" si="0"/>
        <v>7.350000000000001</v>
      </c>
      <c r="H25" s="35">
        <f t="shared" si="4"/>
        <v>117.71084337349397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E25-серпень!E25</f>
        <v>6</v>
      </c>
      <c r="N25" s="35">
        <f>F25-серпень!F25</f>
        <v>0</v>
      </c>
      <c r="O25" s="47">
        <f t="shared" si="3"/>
        <v>-6</v>
      </c>
      <c r="P25" s="50">
        <f t="shared" si="5"/>
        <v>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-636.12</v>
      </c>
      <c r="G26" s="43">
        <f t="shared" si="0"/>
        <v>-636.12</v>
      </c>
      <c r="H26" s="35"/>
      <c r="I26" s="50">
        <f t="shared" si="1"/>
        <v>-636.12</v>
      </c>
      <c r="J26" s="136"/>
      <c r="K26" s="178">
        <f>F26-4244.7</f>
        <v>-4880.82</v>
      </c>
      <c r="L26" s="178">
        <f>F26/4244.7*100</f>
        <v>-14.986218107286733</v>
      </c>
      <c r="M26" s="35">
        <f>E26-серпень!E26</f>
        <v>0</v>
      </c>
      <c r="N26" s="35">
        <f>F26-серпень!F26</f>
        <v>-21.549999999999955</v>
      </c>
      <c r="O26" s="47">
        <f t="shared" si="3"/>
        <v>-21.549999999999955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68327.35</v>
      </c>
      <c r="G27" s="43">
        <f t="shared" si="0"/>
        <v>790.8500000000058</v>
      </c>
      <c r="H27" s="35">
        <f t="shared" si="4"/>
        <v>101.17099642415583</v>
      </c>
      <c r="I27" s="50">
        <f t="shared" si="1"/>
        <v>-11172.649999999994</v>
      </c>
      <c r="J27" s="178">
        <f t="shared" si="6"/>
        <v>85.94635220125787</v>
      </c>
      <c r="K27" s="132">
        <f>F27-56114.63</f>
        <v>12212.720000000008</v>
      </c>
      <c r="L27" s="132">
        <f>F27/56114.63*100</f>
        <v>121.7638786890335</v>
      </c>
      <c r="M27" s="35">
        <f>E27-серпень!E27</f>
        <v>4060</v>
      </c>
      <c r="N27" s="35">
        <f>F27-серпень!F27</f>
        <v>492.34000000001106</v>
      </c>
      <c r="O27" s="47">
        <f t="shared" si="3"/>
        <v>-3567.659999999989</v>
      </c>
      <c r="P27" s="50">
        <f t="shared" si="5"/>
        <v>12.126600985221947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E28-серпень!E28</f>
        <v>0</v>
      </c>
      <c r="N28" s="137">
        <f>F28-серпень!F28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17031.82</v>
      </c>
      <c r="G29" s="135">
        <f t="shared" si="0"/>
        <v>251.8199999999997</v>
      </c>
      <c r="H29" s="137">
        <f t="shared" si="4"/>
        <v>101.50071513706793</v>
      </c>
      <c r="I29" s="136">
        <f t="shared" si="1"/>
        <v>-2168.1800000000003</v>
      </c>
      <c r="J29" s="136">
        <f t="shared" si="6"/>
        <v>88.70739583333334</v>
      </c>
      <c r="K29" s="139">
        <f>F29-15615.32</f>
        <v>1416.5</v>
      </c>
      <c r="L29" s="139">
        <f>F29/15615.32*100</f>
        <v>109.0712198020918</v>
      </c>
      <c r="M29" s="137">
        <f>E29-серпень!E29</f>
        <v>1200</v>
      </c>
      <c r="N29" s="137">
        <f>F29-серпень!F29</f>
        <v>100.48999999999796</v>
      </c>
      <c r="O29" s="138">
        <f t="shared" si="3"/>
        <v>-1099.510000000002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51279.92</v>
      </c>
      <c r="G30" s="135">
        <f t="shared" si="0"/>
        <v>523.4199999999983</v>
      </c>
      <c r="H30" s="137">
        <f t="shared" si="4"/>
        <v>101.03123737846384</v>
      </c>
      <c r="I30" s="136">
        <f t="shared" si="1"/>
        <v>-9020.080000000002</v>
      </c>
      <c r="J30" s="136">
        <f t="shared" si="6"/>
        <v>85.04132669983416</v>
      </c>
      <c r="K30" s="139">
        <f>F30-40498.93</f>
        <v>10780.989999999998</v>
      </c>
      <c r="L30" s="139">
        <f>F30/40498.93*100</f>
        <v>126.62043170029429</v>
      </c>
      <c r="M30" s="137">
        <f>E30-серпень!E30</f>
        <v>2860</v>
      </c>
      <c r="N30" s="137">
        <f>F30-серпень!F30</f>
        <v>391.84999999999854</v>
      </c>
      <c r="O30" s="138">
        <f t="shared" si="3"/>
        <v>-2468.1500000000015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E31-серпень!E31</f>
        <v>0</v>
      </c>
      <c r="N31" s="137">
        <f>F31-серпень!F31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5574.11</v>
      </c>
      <c r="G32" s="43">
        <f t="shared" si="0"/>
        <v>-178.28999999999996</v>
      </c>
      <c r="H32" s="35">
        <f t="shared" si="4"/>
        <v>96.90059801126486</v>
      </c>
      <c r="I32" s="50">
        <f t="shared" si="1"/>
        <v>-1925.8900000000003</v>
      </c>
      <c r="J32" s="178">
        <f t="shared" si="6"/>
        <v>74.32146666666665</v>
      </c>
      <c r="K32" s="178">
        <f>F32-7363.52</f>
        <v>-1789.4100000000008</v>
      </c>
      <c r="L32" s="178">
        <f>F32/5308.17*100</f>
        <v>105.01001286695791</v>
      </c>
      <c r="M32" s="35">
        <f>E32-серпень!E32</f>
        <v>0.2999999999992724</v>
      </c>
      <c r="N32" s="35">
        <f>F32-серпень!F32</f>
        <v>0.1499999999996362</v>
      </c>
      <c r="O32" s="47">
        <f t="shared" si="3"/>
        <v>-0.1499999999996362</v>
      </c>
      <c r="P32" s="50">
        <f t="shared" si="5"/>
        <v>50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22950</v>
      </c>
      <c r="F33" s="18">
        <f>F34+F35+F36+F37+F38+F41+F42+F47+F48+F52+F40+F39</f>
        <v>25775.52</v>
      </c>
      <c r="G33" s="44">
        <f t="shared" si="0"/>
        <v>2825.5200000000004</v>
      </c>
      <c r="H33" s="45">
        <f>F33/E33*100</f>
        <v>112.31163398692811</v>
      </c>
      <c r="I33" s="31">
        <f t="shared" si="1"/>
        <v>-2931.579999999998</v>
      </c>
      <c r="J33" s="31">
        <f t="shared" si="6"/>
        <v>89.78796186309312</v>
      </c>
      <c r="K33" s="18">
        <f>K34+K35+K36+K37+K38+K41+K42+K47+K48+K52+K40</f>
        <v>17167.03</v>
      </c>
      <c r="L33" s="18"/>
      <c r="M33" s="18">
        <f>M34+M35+M36+M37+M38+M41+M42+M47+M48+M52+M40+M39</f>
        <v>2859.8</v>
      </c>
      <c r="N33" s="18">
        <f>N34+N35+N36+N37+N38+N41+N42+N47+N48+N52+N40+N39</f>
        <v>4168.17</v>
      </c>
      <c r="O33" s="49">
        <f t="shared" si="3"/>
        <v>1308.37</v>
      </c>
      <c r="P33" s="31">
        <f>N33/M33*100</f>
        <v>145.7504021260228</v>
      </c>
      <c r="Q33" s="31">
        <f>N33-1017.63</f>
        <v>3150.54</v>
      </c>
      <c r="R33" s="127">
        <f>N33/1017.63</f>
        <v>4.095958255947643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450</v>
      </c>
      <c r="F35" s="143">
        <v>4154.01</v>
      </c>
      <c r="G35" s="43">
        <f t="shared" si="0"/>
        <v>3704.01</v>
      </c>
      <c r="H35" s="35"/>
      <c r="I35" s="50">
        <f t="shared" si="1"/>
        <v>3154.01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250</v>
      </c>
      <c r="N35" s="35">
        <f>F35-серпень!F35</f>
        <v>3952.6400000000003</v>
      </c>
      <c r="O35" s="47">
        <f t="shared" si="3"/>
        <v>3702.6400000000003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E36-серпень!E36</f>
        <v>0</v>
      </c>
      <c r="N36" s="35">
        <f>F36-серпень!F36</f>
        <v>0</v>
      </c>
      <c r="O36" s="47">
        <f t="shared" si="3"/>
        <v>0</v>
      </c>
      <c r="P36" s="50"/>
      <c r="Q36" s="50">
        <f>N36-4.23</f>
        <v>-4.23</v>
      </c>
      <c r="R36" s="126">
        <f>N36/4.23</f>
        <v>0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104.08</v>
      </c>
      <c r="G38" s="43">
        <f t="shared" si="0"/>
        <v>-0.9200000000000017</v>
      </c>
      <c r="H38" s="35">
        <f>F38/E38*100</f>
        <v>99.12380952380953</v>
      </c>
      <c r="I38" s="50">
        <f t="shared" si="1"/>
        <v>-35.92</v>
      </c>
      <c r="J38" s="50">
        <f t="shared" si="6"/>
        <v>74.34285714285714</v>
      </c>
      <c r="K38" s="50">
        <f>F38-82.36</f>
        <v>21.72</v>
      </c>
      <c r="L38" s="50">
        <f>F38/82.36*100</f>
        <v>126.37202525497815</v>
      </c>
      <c r="M38" s="35">
        <f>E38-серпень!E38</f>
        <v>15</v>
      </c>
      <c r="N38" s="35">
        <f>F38-серпень!F38</f>
        <v>0.01999999999999602</v>
      </c>
      <c r="O38" s="47">
        <f t="shared" si="3"/>
        <v>-14.980000000000004</v>
      </c>
      <c r="P38" s="50">
        <f>N38/M38*100</f>
        <v>0.1333333333333068</v>
      </c>
      <c r="Q38" s="50">
        <f>N38-9.02</f>
        <v>-9.000000000000004</v>
      </c>
      <c r="R38" s="126">
        <f>N38/9.02</f>
        <v>0.0022172949002212884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E39-серпень!E39</f>
        <v>0</v>
      </c>
      <c r="N39" s="35">
        <f>F39-серпень!F39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6885.5</v>
      </c>
      <c r="G40" s="43"/>
      <c r="H40" s="35"/>
      <c r="I40" s="50">
        <f t="shared" si="1"/>
        <v>-2114.5</v>
      </c>
      <c r="J40" s="50"/>
      <c r="K40" s="50">
        <f>F40-0</f>
        <v>6885.5</v>
      </c>
      <c r="L40" s="50"/>
      <c r="M40" s="35">
        <f>E40-серпень!E40</f>
        <v>1000</v>
      </c>
      <c r="N40" s="35">
        <f>F40-серпень!F40</f>
        <v>113.44999999999982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5864.75</v>
      </c>
      <c r="G41" s="43">
        <f t="shared" si="0"/>
        <v>644.75</v>
      </c>
      <c r="H41" s="35">
        <f>F41/E41*100</f>
        <v>112.35153256704982</v>
      </c>
      <c r="I41" s="50">
        <f t="shared" si="1"/>
        <v>-1035.25</v>
      </c>
      <c r="J41" s="50">
        <f t="shared" si="6"/>
        <v>84.9963768115942</v>
      </c>
      <c r="K41" s="50">
        <f>F41-4735.68</f>
        <v>1129.0699999999997</v>
      </c>
      <c r="L41" s="50">
        <f>F41/4735.68*100</f>
        <v>123.84177140347322</v>
      </c>
      <c r="M41" s="35">
        <f>E41-серпень!E41</f>
        <v>600</v>
      </c>
      <c r="N41" s="35">
        <f>F41-серпень!F41</f>
        <v>-0.1000000000003638</v>
      </c>
      <c r="O41" s="47">
        <f t="shared" si="3"/>
        <v>-600.1000000000004</v>
      </c>
      <c r="P41" s="50">
        <f>N41/M41*100</f>
        <v>-0.0166666666667273</v>
      </c>
      <c r="Q41" s="50">
        <f>N41-647.49</f>
        <v>-647.5900000000004</v>
      </c>
      <c r="R41" s="126">
        <f>N41/647.49</f>
        <v>-0.0001544425396536839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5287.67</v>
      </c>
      <c r="G42" s="43">
        <f t="shared" si="0"/>
        <v>-511.3299999999999</v>
      </c>
      <c r="H42" s="35">
        <f>F42/E42*100</f>
        <v>91.1824452491809</v>
      </c>
      <c r="I42" s="50">
        <f t="shared" si="1"/>
        <v>-1812.33</v>
      </c>
      <c r="J42" s="50">
        <f t="shared" si="6"/>
        <v>74.47422535211268</v>
      </c>
      <c r="K42" s="50">
        <f>F42-685.66</f>
        <v>4602.01</v>
      </c>
      <c r="L42" s="50">
        <f>F42/685.66*100</f>
        <v>771.1795933844763</v>
      </c>
      <c r="M42" s="35">
        <f>E42-серпень!E42</f>
        <v>604.3000000000002</v>
      </c>
      <c r="N42" s="35">
        <f>F42-серпень!F42</f>
        <v>66.23999999999978</v>
      </c>
      <c r="O42" s="47">
        <f t="shared" si="3"/>
        <v>-538.0600000000004</v>
      </c>
      <c r="P42" s="50">
        <f>N42/M42*100</f>
        <v>10.961442991891406</v>
      </c>
      <c r="Q42" s="50">
        <f>N42-79.51</f>
        <v>-13.270000000000223</v>
      </c>
      <c r="R42" s="126">
        <f>N42/79.51</f>
        <v>0.8331027543705166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742.73</v>
      </c>
      <c r="G43" s="135">
        <f t="shared" si="0"/>
        <v>-97.26999999999998</v>
      </c>
      <c r="H43" s="137">
        <f>F43/E43*100</f>
        <v>88.4202380952381</v>
      </c>
      <c r="I43" s="136">
        <f t="shared" si="1"/>
        <v>-357.27</v>
      </c>
      <c r="J43" s="136">
        <f t="shared" si="6"/>
        <v>67.5209090909091</v>
      </c>
      <c r="K43" s="136">
        <f>F43-605.31</f>
        <v>137.42000000000007</v>
      </c>
      <c r="L43" s="136">
        <f>F43/605.31*100</f>
        <v>122.70241694338439</v>
      </c>
      <c r="M43" s="35">
        <f>E43-серпень!E43</f>
        <v>80</v>
      </c>
      <c r="N43" s="35">
        <f>F43-серпень!F43</f>
        <v>7.600000000000023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45.48</v>
      </c>
      <c r="G44" s="135">
        <f t="shared" si="0"/>
        <v>-14.520000000000003</v>
      </c>
      <c r="H44" s="137"/>
      <c r="I44" s="136">
        <f t="shared" si="1"/>
        <v>-34.52</v>
      </c>
      <c r="J44" s="136"/>
      <c r="K44" s="136">
        <f>F44-0</f>
        <v>45.48</v>
      </c>
      <c r="L44" s="136"/>
      <c r="M44" s="35">
        <f>E44-серпень!E44</f>
        <v>10</v>
      </c>
      <c r="N44" s="35">
        <f>F44-серпень!F44</f>
        <v>0.02999999999999403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4498.7</v>
      </c>
      <c r="G46" s="135">
        <f t="shared" si="0"/>
        <v>-399.3000000000002</v>
      </c>
      <c r="H46" s="137">
        <f>F46/E46*100</f>
        <v>91.8476929358922</v>
      </c>
      <c r="I46" s="136">
        <f t="shared" si="1"/>
        <v>-1419.3000000000002</v>
      </c>
      <c r="J46" s="136">
        <f t="shared" si="6"/>
        <v>76.01723555255153</v>
      </c>
      <c r="K46" s="136">
        <f>F46-80.35</f>
        <v>4418.349999999999</v>
      </c>
      <c r="L46" s="136">
        <f>F46/80.35*100</f>
        <v>5598.879900435595</v>
      </c>
      <c r="M46" s="35">
        <f>E46-серпень!E46</f>
        <v>514</v>
      </c>
      <c r="N46" s="35">
        <f>F46-серпень!F46</f>
        <v>58.590000000000146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E47-серпень!E47</f>
        <v>0</v>
      </c>
      <c r="N47" s="35">
        <f>F47-серпень!F47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3228.57</v>
      </c>
      <c r="G48" s="43">
        <f t="shared" si="0"/>
        <v>138.57000000000016</v>
      </c>
      <c r="H48" s="35">
        <f>F48/E48*100</f>
        <v>104.48446601941748</v>
      </c>
      <c r="I48" s="50">
        <f t="shared" si="1"/>
        <v>-971.4299999999998</v>
      </c>
      <c r="J48" s="50">
        <f>F48/D48*100</f>
        <v>76.87071428571429</v>
      </c>
      <c r="K48" s="50">
        <f>F48-2702.66</f>
        <v>525.9100000000003</v>
      </c>
      <c r="L48" s="50">
        <f>F48/2702.66*100</f>
        <v>119.45897745184375</v>
      </c>
      <c r="M48" s="35">
        <f>E48-серпень!E48</f>
        <v>390</v>
      </c>
      <c r="N48" s="35">
        <f>F48-серпень!F48</f>
        <v>35.92000000000007</v>
      </c>
      <c r="O48" s="47">
        <f t="shared" si="3"/>
        <v>-354.0799999999999</v>
      </c>
      <c r="P48" s="50">
        <f aca="true" t="shared" si="7" ref="P48:P53">N48/M48*100</f>
        <v>9.210256410256429</v>
      </c>
      <c r="Q48" s="50">
        <f>N48-277.38</f>
        <v>-241.45999999999992</v>
      </c>
      <c r="R48" s="126">
        <f>N48/277.38</f>
        <v>0.12949744033455934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900.1</v>
      </c>
      <c r="G51" s="135">
        <f t="shared" si="0"/>
        <v>900.1</v>
      </c>
      <c r="H51" s="137"/>
      <c r="I51" s="136">
        <f t="shared" si="1"/>
        <v>900.1</v>
      </c>
      <c r="J51" s="136"/>
      <c r="K51" s="219">
        <f>F51-635.8</f>
        <v>264.30000000000007</v>
      </c>
      <c r="L51" s="219">
        <f>F51/635.8*100</f>
        <v>141.56967599874176</v>
      </c>
      <c r="M51" s="35">
        <f>E51-серпень!E51</f>
        <v>0</v>
      </c>
      <c r="N51" s="35">
        <f>F51-серпень!F51</f>
        <v>9.5</v>
      </c>
      <c r="O51" s="138">
        <f t="shared" si="3"/>
        <v>9.5</v>
      </c>
      <c r="P51" s="136"/>
      <c r="Q51" s="50">
        <f>N51-64.93</f>
        <v>-55.43000000000001</v>
      </c>
      <c r="R51" s="126">
        <f>N51/64.93</f>
        <v>0.14631141229015862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E52-серпень!E52</f>
        <v>0</v>
      </c>
      <c r="N52" s="35">
        <f>F52-серпень!F52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481721.9</v>
      </c>
      <c r="F55" s="18">
        <f>F8+F33+F53+F54</f>
        <v>457085.98000000004</v>
      </c>
      <c r="G55" s="44">
        <f>F55-E55</f>
        <v>-24635.919999999984</v>
      </c>
      <c r="H55" s="45">
        <f>F55/E55*100</f>
        <v>94.88586256925417</v>
      </c>
      <c r="I55" s="31">
        <f>F55-D55</f>
        <v>-143936.61999999994</v>
      </c>
      <c r="J55" s="31">
        <f>F55/D55*100</f>
        <v>76.05137976508705</v>
      </c>
      <c r="K55" s="31">
        <f>K8+K33+K53+K54</f>
        <v>125815.566</v>
      </c>
      <c r="L55" s="31">
        <f>F55/(F55-K55)*100</f>
        <v>137.9797170779036</v>
      </c>
      <c r="M55" s="18">
        <f>M8+M33+M53+M54</f>
        <v>48538.399999999994</v>
      </c>
      <c r="N55" s="18">
        <f>N8+N33+N53+N54</f>
        <v>5951.790000000037</v>
      </c>
      <c r="O55" s="49">
        <f>N55-M55</f>
        <v>-42586.60999999996</v>
      </c>
      <c r="P55" s="31">
        <f>N55/M55*100</f>
        <v>12.262023470077379</v>
      </c>
      <c r="Q55" s="31">
        <f>N55-34768</f>
        <v>-28816.209999999963</v>
      </c>
      <c r="R55" s="171">
        <f>N55/34768</f>
        <v>0.17118586056143686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-50.49</v>
      </c>
      <c r="G61" s="43">
        <f aca="true" t="shared" si="8" ref="G61:G68">F61-E61</f>
        <v>-50.49</v>
      </c>
      <c r="H61" s="35"/>
      <c r="I61" s="53">
        <f aca="true" t="shared" si="9" ref="I61:I68">F61-D61</f>
        <v>-50.49</v>
      </c>
      <c r="J61" s="53"/>
      <c r="K61" s="47">
        <f>F61-207.32</f>
        <v>-257.81</v>
      </c>
      <c r="L61" s="53"/>
      <c r="M61" s="35">
        <v>0</v>
      </c>
      <c r="N61" s="36">
        <f>F61-липень!F61</f>
        <v>-1.3000000000000043</v>
      </c>
      <c r="O61" s="47">
        <f aca="true" t="shared" si="10" ref="O61:O68">N61-M61</f>
        <v>-1.3000000000000043</v>
      </c>
      <c r="P61" s="53"/>
      <c r="Q61" s="53">
        <f>N61-24.53</f>
        <v>-25.830000000000005</v>
      </c>
      <c r="R61" s="129">
        <f>N61/24.53</f>
        <v>-0.052996331023237024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-50.49</v>
      </c>
      <c r="G62" s="55">
        <f t="shared" si="8"/>
        <v>-50.49</v>
      </c>
      <c r="H62" s="65"/>
      <c r="I62" s="54">
        <f t="shared" si="9"/>
        <v>-50.49</v>
      </c>
      <c r="J62" s="54"/>
      <c r="K62" s="54">
        <f>K60+K61</f>
        <v>-256.85</v>
      </c>
      <c r="L62" s="54"/>
      <c r="M62" s="55">
        <f>M61</f>
        <v>0</v>
      </c>
      <c r="N62" s="33">
        <f>SUM(N60:N61)</f>
        <v>-1.3000000000000043</v>
      </c>
      <c r="O62" s="54">
        <f t="shared" si="10"/>
        <v>-1.3000000000000043</v>
      </c>
      <c r="P62" s="54"/>
      <c r="Q62" s="54">
        <f>N62-92.85</f>
        <v>-94.15</v>
      </c>
      <c r="R62" s="130">
        <f>N62/92.85</f>
        <v>-0.01400107700592358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593.04</v>
      </c>
      <c r="G64" s="43">
        <f t="shared" si="8"/>
        <v>-1006.96</v>
      </c>
      <c r="H64" s="35"/>
      <c r="I64" s="53">
        <f t="shared" si="9"/>
        <v>-1906.96</v>
      </c>
      <c r="J64" s="53">
        <f t="shared" si="11"/>
        <v>23.7216</v>
      </c>
      <c r="K64" s="53">
        <f>F64-1754.68</f>
        <v>-1161.64</v>
      </c>
      <c r="L64" s="53">
        <f>F64/1754.68*100</f>
        <v>33.79761551963891</v>
      </c>
      <c r="M64" s="35">
        <f>E64-серпень!E64</f>
        <v>600</v>
      </c>
      <c r="N64" s="35">
        <f>F64-серпень!F64</f>
        <v>0.01999999999998181</v>
      </c>
      <c r="O64" s="47">
        <f t="shared" si="10"/>
        <v>-599.98</v>
      </c>
      <c r="P64" s="53"/>
      <c r="Q64" s="53">
        <f>N64-0.04</f>
        <v>-0.02000000000001819</v>
      </c>
      <c r="R64" s="129">
        <f>N64/0.04</f>
        <v>0.49999999999954525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3828.68</v>
      </c>
      <c r="G65" s="43">
        <f t="shared" si="8"/>
        <v>-1633.48</v>
      </c>
      <c r="H65" s="35">
        <f>F65/E65*100</f>
        <v>70.09461458470642</v>
      </c>
      <c r="I65" s="53">
        <f t="shared" si="9"/>
        <v>-7747.32</v>
      </c>
      <c r="J65" s="53">
        <f t="shared" si="11"/>
        <v>33.074291637871454</v>
      </c>
      <c r="K65" s="53">
        <f>F65-2291.79</f>
        <v>1536.8899999999999</v>
      </c>
      <c r="L65" s="53">
        <f>F65/2291.79*100</f>
        <v>167.0606818251236</v>
      </c>
      <c r="M65" s="35">
        <f>E65-серпень!E65</f>
        <v>728.7200000000003</v>
      </c>
      <c r="N65" s="35">
        <f>F65-серпень!F65</f>
        <v>70.03999999999996</v>
      </c>
      <c r="O65" s="47">
        <f t="shared" si="10"/>
        <v>-658.6800000000003</v>
      </c>
      <c r="P65" s="53">
        <f>N65/M65*100</f>
        <v>9.611373366999661</v>
      </c>
      <c r="Q65" s="53">
        <f>N65-450.01</f>
        <v>-379.97</v>
      </c>
      <c r="R65" s="129">
        <f>N65/450.01</f>
        <v>0.155640985755872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1838.86</v>
      </c>
      <c r="G66" s="43">
        <f t="shared" si="8"/>
        <v>654.06</v>
      </c>
      <c r="H66" s="35">
        <f>F66/E66*100</f>
        <v>155.20425388251184</v>
      </c>
      <c r="I66" s="53">
        <f t="shared" si="9"/>
        <v>-1161.14</v>
      </c>
      <c r="J66" s="53">
        <f t="shared" si="11"/>
        <v>61.29533333333333</v>
      </c>
      <c r="K66" s="53">
        <f>F66-864.62</f>
        <v>974.2399999999999</v>
      </c>
      <c r="L66" s="53">
        <f>F66/864.62*100</f>
        <v>212.67840207258678</v>
      </c>
      <c r="M66" s="35">
        <f>E66-серпень!E66</f>
        <v>148.0999999999999</v>
      </c>
      <c r="N66" s="35">
        <f>F66-серпень!F66</f>
        <v>0.2199999999997999</v>
      </c>
      <c r="O66" s="47">
        <f t="shared" si="10"/>
        <v>-147.8800000000001</v>
      </c>
      <c r="P66" s="53">
        <f>N66/M66*100</f>
        <v>0.14854827819027686</v>
      </c>
      <c r="Q66" s="53">
        <f>N66-1.05</f>
        <v>-0.8300000000002001</v>
      </c>
      <c r="R66" s="129">
        <f>N66/1.05</f>
        <v>0.20952380952361896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6260.579999999999</v>
      </c>
      <c r="G67" s="55">
        <f t="shared" si="8"/>
        <v>-1986.38</v>
      </c>
      <c r="H67" s="65">
        <f>F67/E67*100</f>
        <v>75.91379126368989</v>
      </c>
      <c r="I67" s="54">
        <f t="shared" si="9"/>
        <v>-10815.420000000002</v>
      </c>
      <c r="J67" s="54">
        <f t="shared" si="11"/>
        <v>36.66303583977511</v>
      </c>
      <c r="K67" s="54">
        <f>K64+K65+K66</f>
        <v>1349.4899999999998</v>
      </c>
      <c r="L67" s="54"/>
      <c r="M67" s="55">
        <f>M64+M65+M66</f>
        <v>1476.8200000000002</v>
      </c>
      <c r="N67" s="55">
        <f>N64+N65+N66</f>
        <v>70.27999999999975</v>
      </c>
      <c r="O67" s="54">
        <f t="shared" si="10"/>
        <v>-1406.5400000000004</v>
      </c>
      <c r="P67" s="54">
        <f>N67/M67*100</f>
        <v>4.758873796400357</v>
      </c>
      <c r="Q67" s="54">
        <f>N67-7985.28</f>
        <v>-7915</v>
      </c>
      <c r="R67" s="173">
        <f>N67/7985.28</f>
        <v>0.008801194197323043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0.18</v>
      </c>
      <c r="G68" s="43">
        <f t="shared" si="8"/>
        <v>-24.82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E68-серпень!E68</f>
        <v>10</v>
      </c>
      <c r="N68" s="35">
        <f>F68-серпень!F68</f>
        <v>0</v>
      </c>
      <c r="O68" s="47">
        <f t="shared" si="10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E70-серпень!E70</f>
        <v>0</v>
      </c>
      <c r="N70" s="35">
        <f>F70-серпень!F70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1.06</v>
      </c>
      <c r="G71" s="55">
        <f>F71-E71</f>
        <v>-35.94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10</v>
      </c>
      <c r="N71" s="55">
        <f>N68+N70+N69</f>
        <v>0</v>
      </c>
      <c r="O71" s="54">
        <f>N71-M71</f>
        <v>-10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21.06</v>
      </c>
      <c r="G72" s="43">
        <f>F72-E72</f>
        <v>-11.16</v>
      </c>
      <c r="H72" s="35">
        <f>F72/E72*100</f>
        <v>65.36312849162012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E72-серпень!E72</f>
        <v>9</v>
      </c>
      <c r="N72" s="35">
        <f>F72-серпень!F72</f>
        <v>0</v>
      </c>
      <c r="O72" s="47">
        <f>N72-M72</f>
        <v>-9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6232.409999999999</v>
      </c>
      <c r="G74" s="44">
        <f>F74-E74</f>
        <v>-2083.7699999999995</v>
      </c>
      <c r="H74" s="45">
        <f>F74/E74*100</f>
        <v>74.94318304798597</v>
      </c>
      <c r="I74" s="31">
        <f>F74-D74</f>
        <v>-10939.59</v>
      </c>
      <c r="J74" s="31">
        <f>F74/D74*100</f>
        <v>36.294025157232696</v>
      </c>
      <c r="K74" s="31">
        <f>K62+K67+K71+K72</f>
        <v>1057.6399999999999</v>
      </c>
      <c r="L74" s="31"/>
      <c r="M74" s="27">
        <f>M62+M72+M67+M71</f>
        <v>1495.8200000000002</v>
      </c>
      <c r="N74" s="27">
        <f>N62+N72+N67+N71+N73</f>
        <v>68.97999999999973</v>
      </c>
      <c r="O74" s="31">
        <f>N74-M74</f>
        <v>-1426.8400000000004</v>
      </c>
      <c r="P74" s="31">
        <f>N74/M74*100</f>
        <v>4.61151742856759</v>
      </c>
      <c r="Q74" s="31">
        <f>N74-8104.96</f>
        <v>-8035.9800000000005</v>
      </c>
      <c r="R74" s="127">
        <f>N74/8104.96</f>
        <v>0.008510837807959538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490038.08</v>
      </c>
      <c r="F75" s="27">
        <f>F55+F74</f>
        <v>463318.39</v>
      </c>
      <c r="G75" s="44">
        <f>F75-E75</f>
        <v>-26719.690000000002</v>
      </c>
      <c r="H75" s="45">
        <f>F75/E75*100</f>
        <v>94.54742578372685</v>
      </c>
      <c r="I75" s="31">
        <f>F75-D75</f>
        <v>-154876.20999999996</v>
      </c>
      <c r="J75" s="31">
        <f>F75/D75*100</f>
        <v>74.94701344851606</v>
      </c>
      <c r="K75" s="31">
        <f>K55+K74</f>
        <v>126873.206</v>
      </c>
      <c r="L75" s="31">
        <f>F75/(F75-K75)*100</f>
        <v>137.70991889127473</v>
      </c>
      <c r="M75" s="18">
        <f>M55+M74</f>
        <v>50034.219999999994</v>
      </c>
      <c r="N75" s="18">
        <f>N55+N74</f>
        <v>6020.770000000037</v>
      </c>
      <c r="O75" s="31">
        <f>N75-M75</f>
        <v>-44013.44999999995</v>
      </c>
      <c r="P75" s="31">
        <f>N75/M75*100</f>
        <v>12.033304406464291</v>
      </c>
      <c r="Q75" s="31">
        <f>N75-42872.96</f>
        <v>-36852.18999999996</v>
      </c>
      <c r="R75" s="127">
        <f>N75/42872.96</f>
        <v>0.14043280426637295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19</v>
      </c>
      <c r="D77" s="4" t="s">
        <v>118</v>
      </c>
    </row>
    <row r="78" spans="2:17" ht="31.5">
      <c r="B78" s="71" t="s">
        <v>154</v>
      </c>
      <c r="C78" s="34">
        <f>IF(O55&lt;0,ABS(O55/C77),0)</f>
        <v>2241.4005263157874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42250</v>
      </c>
      <c r="D79" s="34">
        <v>684</v>
      </c>
      <c r="N79" s="252"/>
      <c r="O79" s="252"/>
    </row>
    <row r="80" spans="3:15" ht="15.75">
      <c r="C80" s="111">
        <v>42249</v>
      </c>
      <c r="D80" s="34">
        <v>582.45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42248</v>
      </c>
      <c r="D81" s="34">
        <v>4685.35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929.76266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203</v>
      </c>
      <c r="C3" s="233" t="s">
        <v>0</v>
      </c>
      <c r="D3" s="234" t="s">
        <v>190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187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153</v>
      </c>
      <c r="F4" s="243" t="s">
        <v>116</v>
      </c>
      <c r="G4" s="245" t="s">
        <v>173</v>
      </c>
      <c r="H4" s="280" t="s">
        <v>174</v>
      </c>
      <c r="I4" s="278" t="s">
        <v>186</v>
      </c>
      <c r="J4" s="276" t="s">
        <v>189</v>
      </c>
      <c r="K4" s="116" t="s">
        <v>172</v>
      </c>
      <c r="L4" s="121" t="s">
        <v>171</v>
      </c>
      <c r="M4" s="239"/>
      <c r="N4" s="255" t="s">
        <v>194</v>
      </c>
      <c r="O4" s="278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81"/>
      <c r="I5" s="279"/>
      <c r="J5" s="277"/>
      <c r="K5" s="226" t="s">
        <v>188</v>
      </c>
      <c r="L5" s="227"/>
      <c r="M5" s="240"/>
      <c r="N5" s="256"/>
      <c r="O5" s="279"/>
      <c r="P5" s="241"/>
      <c r="Q5" s="226" t="s">
        <v>176</v>
      </c>
      <c r="R5" s="227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51"/>
      <c r="H137" s="251"/>
      <c r="I137" s="251"/>
      <c r="J137" s="25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2"/>
      <c r="O138" s="252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4" t="s">
        <v>161</v>
      </c>
      <c r="K139" s="274"/>
      <c r="L139" s="274"/>
      <c r="M139" s="274"/>
      <c r="N139" s="252"/>
      <c r="O139" s="252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75" t="s">
        <v>162</v>
      </c>
      <c r="K140" s="275"/>
      <c r="L140" s="275"/>
      <c r="M140" s="275"/>
      <c r="N140" s="252"/>
      <c r="O140" s="252"/>
    </row>
    <row r="141" spans="7:13" ht="15.75" customHeight="1">
      <c r="G141" s="265" t="s">
        <v>148</v>
      </c>
      <c r="H141" s="265"/>
      <c r="I141" s="103">
        <v>0</v>
      </c>
      <c r="J141" s="274" t="s">
        <v>163</v>
      </c>
      <c r="K141" s="274"/>
      <c r="L141" s="274"/>
      <c r="M141" s="274"/>
    </row>
    <row r="142" spans="2:13" ht="18.75" customHeight="1">
      <c r="B142" s="260" t="s">
        <v>160</v>
      </c>
      <c r="C142" s="261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4" t="s">
        <v>164</v>
      </c>
      <c r="K142" s="274"/>
      <c r="L142" s="274"/>
      <c r="M142" s="274"/>
    </row>
    <row r="143" spans="7:12" ht="9.75" customHeight="1">
      <c r="G143" s="253"/>
      <c r="H143" s="253"/>
      <c r="I143" s="90"/>
      <c r="J143" s="91"/>
      <c r="K143" s="91"/>
      <c r="L143" s="91"/>
    </row>
    <row r="144" spans="2:12" ht="22.5" customHeight="1" hidden="1">
      <c r="B144" s="262" t="s">
        <v>167</v>
      </c>
      <c r="C144" s="263"/>
      <c r="D144" s="110">
        <v>0</v>
      </c>
      <c r="E144" s="70" t="s">
        <v>104</v>
      </c>
      <c r="G144" s="253"/>
      <c r="H144" s="253"/>
      <c r="I144" s="90"/>
      <c r="J144" s="91"/>
      <c r="K144" s="91"/>
      <c r="L144" s="91"/>
    </row>
    <row r="145" spans="4:15" ht="15.75">
      <c r="D145" s="105"/>
      <c r="N145" s="253"/>
      <c r="O145" s="253"/>
    </row>
    <row r="146" spans="4:15" ht="15.75">
      <c r="D146" s="104"/>
      <c r="I146" s="34"/>
      <c r="N146" s="264"/>
      <c r="O146" s="264"/>
    </row>
    <row r="147" spans="14:15" ht="15.75">
      <c r="N147" s="253"/>
      <c r="O147" s="25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53" sqref="H5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296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293</v>
      </c>
      <c r="N3" s="241" t="s">
        <v>294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291</v>
      </c>
      <c r="F4" s="243" t="s">
        <v>116</v>
      </c>
      <c r="G4" s="245" t="s">
        <v>292</v>
      </c>
      <c r="H4" s="247" t="s">
        <v>301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297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295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890.6</v>
      </c>
      <c r="G51" s="135">
        <f t="shared" si="0"/>
        <v>890.6</v>
      </c>
      <c r="H51" s="137"/>
      <c r="I51" s="136">
        <f t="shared" si="1"/>
        <v>890.6</v>
      </c>
      <c r="J51" s="136"/>
      <c r="K51" s="219">
        <f>F51-635.8</f>
        <v>254.80000000000007</v>
      </c>
      <c r="L51" s="219">
        <f>F51/635.8*100</f>
        <v>140.07549543881726</v>
      </c>
      <c r="M51" s="137">
        <f>E51-липень!E51</f>
        <v>0</v>
      </c>
      <c r="N51" s="137">
        <f>F51-липень!F51</f>
        <v>207.39999999999998</v>
      </c>
      <c r="O51" s="138">
        <f t="shared" si="3"/>
        <v>207.39999999999998</v>
      </c>
      <c r="P51" s="136"/>
      <c r="Q51" s="50">
        <f>N51-64.93</f>
        <v>142.46999999999997</v>
      </c>
      <c r="R51" s="126">
        <f>N51/64.93</f>
        <v>3.194209148313568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52"/>
      <c r="O79" s="252"/>
    </row>
    <row r="80" spans="3:15" ht="15.75">
      <c r="C80" s="111">
        <v>42244</v>
      </c>
      <c r="D80" s="34">
        <v>8323.9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42243</v>
      </c>
      <c r="D81" s="34">
        <v>4177.3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2162.07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G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3" sqref="N3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289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285</v>
      </c>
      <c r="N3" s="241" t="s">
        <v>286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282</v>
      </c>
      <c r="F4" s="243" t="s">
        <v>116</v>
      </c>
      <c r="G4" s="245" t="s">
        <v>283</v>
      </c>
      <c r="H4" s="247" t="s">
        <v>284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287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2"/>
      <c r="O79" s="252"/>
    </row>
    <row r="80" spans="3:15" ht="15.75">
      <c r="C80" s="111">
        <v>42215</v>
      </c>
      <c r="D80" s="34">
        <v>7239.9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8" t="s">
        <v>280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17"/>
      <c r="R1" s="118"/>
    </row>
    <row r="2" spans="2:18" s="1" customFormat="1" ht="15.75" customHeight="1">
      <c r="B2" s="229"/>
      <c r="C2" s="229"/>
      <c r="D2" s="229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277</v>
      </c>
      <c r="N3" s="241" t="s">
        <v>278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279</v>
      </c>
      <c r="F4" s="269" t="s">
        <v>116</v>
      </c>
      <c r="G4" s="245" t="s">
        <v>275</v>
      </c>
      <c r="H4" s="247" t="s">
        <v>276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281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0"/>
      <c r="G5" s="246"/>
      <c r="H5" s="248"/>
      <c r="I5" s="250"/>
      <c r="J5" s="240"/>
      <c r="K5" s="226" t="s">
        <v>288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2"/>
      <c r="O79" s="252"/>
    </row>
    <row r="80" spans="3:15" ht="15.75">
      <c r="C80" s="111">
        <v>42181</v>
      </c>
      <c r="D80" s="34">
        <v>8722.4</v>
      </c>
      <c r="F80" s="217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274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266</v>
      </c>
      <c r="N3" s="241" t="s">
        <v>267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262</v>
      </c>
      <c r="F4" s="243" t="s">
        <v>116</v>
      </c>
      <c r="G4" s="245" t="s">
        <v>263</v>
      </c>
      <c r="H4" s="247" t="s">
        <v>264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273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265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2"/>
      <c r="O79" s="252"/>
    </row>
    <row r="80" spans="3:15" ht="15.75">
      <c r="C80" s="111">
        <v>42152</v>
      </c>
      <c r="D80" s="34">
        <v>5845.4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7:13" ht="15.75" customHeight="1"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240</v>
      </c>
      <c r="N3" s="241" t="s">
        <v>241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237</v>
      </c>
      <c r="F4" s="271" t="s">
        <v>116</v>
      </c>
      <c r="G4" s="245" t="s">
        <v>238</v>
      </c>
      <c r="H4" s="247" t="s">
        <v>239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260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2"/>
      <c r="G5" s="246"/>
      <c r="H5" s="248"/>
      <c r="I5" s="250"/>
      <c r="J5" s="240"/>
      <c r="K5" s="226" t="s">
        <v>242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51"/>
      <c r="H103" s="251"/>
      <c r="I103" s="251"/>
      <c r="J103" s="25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2"/>
      <c r="O104" s="252"/>
    </row>
    <row r="105" spans="3:15" ht="15.75">
      <c r="C105" s="111">
        <v>42123</v>
      </c>
      <c r="D105" s="34">
        <v>7959.6</v>
      </c>
      <c r="F105" s="201" t="s">
        <v>166</v>
      </c>
      <c r="G105" s="253"/>
      <c r="H105" s="253"/>
      <c r="I105" s="177"/>
      <c r="J105" s="254"/>
      <c r="K105" s="254"/>
      <c r="L105" s="254"/>
      <c r="M105" s="254"/>
      <c r="N105" s="252"/>
      <c r="O105" s="252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58"/>
      <c r="K106" s="258"/>
      <c r="L106" s="258"/>
      <c r="M106" s="258"/>
      <c r="N106" s="252"/>
      <c r="O106" s="252"/>
    </row>
    <row r="107" spans="7:13" ht="15.75" customHeight="1">
      <c r="G107" s="266" t="s">
        <v>234</v>
      </c>
      <c r="H107" s="267"/>
      <c r="I107" s="103">
        <v>0</v>
      </c>
      <c r="J107" s="254"/>
      <c r="K107" s="254"/>
      <c r="L107" s="254"/>
      <c r="M107" s="254"/>
    </row>
    <row r="108" spans="2:13" ht="18.75" customHeight="1">
      <c r="B108" s="260" t="s">
        <v>160</v>
      </c>
      <c r="C108" s="261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54"/>
      <c r="K108" s="254"/>
      <c r="L108" s="254"/>
      <c r="M108" s="254"/>
    </row>
    <row r="109" spans="7:12" ht="9.75" customHeight="1">
      <c r="G109" s="253"/>
      <c r="H109" s="253"/>
      <c r="I109" s="90"/>
      <c r="J109" s="91"/>
      <c r="K109" s="91"/>
      <c r="L109" s="91"/>
    </row>
    <row r="110" spans="2:12" ht="22.5" customHeight="1" hidden="1">
      <c r="B110" s="262" t="s">
        <v>167</v>
      </c>
      <c r="C110" s="263"/>
      <c r="D110" s="110">
        <v>0</v>
      </c>
      <c r="E110" s="70" t="s">
        <v>104</v>
      </c>
      <c r="G110" s="253"/>
      <c r="H110" s="253"/>
      <c r="I110" s="90"/>
      <c r="J110" s="91"/>
      <c r="K110" s="91"/>
      <c r="L110" s="91"/>
    </row>
    <row r="111" spans="4:15" ht="15.75">
      <c r="D111" s="105"/>
      <c r="N111" s="253"/>
      <c r="O111" s="253"/>
    </row>
    <row r="112" spans="4:15" ht="15.75">
      <c r="D112" s="104"/>
      <c r="I112" s="34"/>
      <c r="N112" s="264"/>
      <c r="O112" s="264"/>
    </row>
    <row r="113" spans="14:15" ht="15.75">
      <c r="N113" s="253"/>
      <c r="O113" s="253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231</v>
      </c>
      <c r="N3" s="241" t="s">
        <v>232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228</v>
      </c>
      <c r="F4" s="243" t="s">
        <v>116</v>
      </c>
      <c r="G4" s="245" t="s">
        <v>229</v>
      </c>
      <c r="H4" s="247" t="s">
        <v>230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236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233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2"/>
      <c r="O105" s="252"/>
    </row>
    <row r="106" spans="3:15" ht="15.75">
      <c r="C106" s="111">
        <v>42093</v>
      </c>
      <c r="D106" s="34">
        <v>8025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66" t="s">
        <v>234</v>
      </c>
      <c r="H108" s="267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221</v>
      </c>
      <c r="N3" s="241" t="s">
        <v>202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199</v>
      </c>
      <c r="F4" s="243" t="s">
        <v>116</v>
      </c>
      <c r="G4" s="245" t="s">
        <v>200</v>
      </c>
      <c r="H4" s="247" t="s">
        <v>201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226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224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2"/>
      <c r="O105" s="252"/>
    </row>
    <row r="106" spans="3:15" ht="15.75">
      <c r="C106" s="111">
        <v>42061</v>
      </c>
      <c r="D106" s="34">
        <v>6003.3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73" t="s">
        <v>155</v>
      </c>
      <c r="H108" s="273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220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219</v>
      </c>
      <c r="F4" s="243" t="s">
        <v>116</v>
      </c>
      <c r="G4" s="245" t="s">
        <v>173</v>
      </c>
      <c r="H4" s="280" t="s">
        <v>174</v>
      </c>
      <c r="I4" s="278" t="s">
        <v>217</v>
      </c>
      <c r="J4" s="276" t="s">
        <v>218</v>
      </c>
      <c r="K4" s="116" t="s">
        <v>172</v>
      </c>
      <c r="L4" s="121" t="s">
        <v>171</v>
      </c>
      <c r="M4" s="239"/>
      <c r="N4" s="255" t="s">
        <v>194</v>
      </c>
      <c r="O4" s="278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81"/>
      <c r="I5" s="279"/>
      <c r="J5" s="277"/>
      <c r="K5" s="226" t="s">
        <v>188</v>
      </c>
      <c r="L5" s="227"/>
      <c r="M5" s="240"/>
      <c r="N5" s="256"/>
      <c r="O5" s="279"/>
      <c r="P5" s="241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51"/>
      <c r="H102" s="251"/>
      <c r="I102" s="251"/>
      <c r="J102" s="25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2"/>
      <c r="O103" s="252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4" t="s">
        <v>161</v>
      </c>
      <c r="K104" s="274"/>
      <c r="L104" s="274"/>
      <c r="M104" s="274"/>
      <c r="N104" s="252"/>
      <c r="O104" s="252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75" t="s">
        <v>162</v>
      </c>
      <c r="K105" s="275"/>
      <c r="L105" s="275"/>
      <c r="M105" s="275"/>
      <c r="N105" s="252"/>
      <c r="O105" s="252"/>
    </row>
    <row r="106" spans="7:13" ht="15.75" customHeight="1">
      <c r="G106" s="265" t="s">
        <v>148</v>
      </c>
      <c r="H106" s="265"/>
      <c r="I106" s="103">
        <f>'січень '!I141</f>
        <v>0</v>
      </c>
      <c r="J106" s="274" t="s">
        <v>163</v>
      </c>
      <c r="K106" s="274"/>
      <c r="L106" s="274"/>
      <c r="M106" s="274"/>
    </row>
    <row r="107" spans="2:13" ht="18.75" customHeight="1">
      <c r="B107" s="260" t="s">
        <v>160</v>
      </c>
      <c r="C107" s="261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4" t="s">
        <v>164</v>
      </c>
      <c r="K107" s="274"/>
      <c r="L107" s="274"/>
      <c r="M107" s="274"/>
    </row>
    <row r="108" spans="7:12" ht="9.75" customHeight="1">
      <c r="G108" s="253"/>
      <c r="H108" s="253"/>
      <c r="I108" s="90"/>
      <c r="J108" s="91"/>
      <c r="K108" s="91"/>
      <c r="L108" s="91"/>
    </row>
    <row r="109" spans="2:12" ht="22.5" customHeight="1" hidden="1">
      <c r="B109" s="262" t="s">
        <v>167</v>
      </c>
      <c r="C109" s="263"/>
      <c r="D109" s="110">
        <v>0</v>
      </c>
      <c r="E109" s="70" t="s">
        <v>104</v>
      </c>
      <c r="G109" s="253"/>
      <c r="H109" s="253"/>
      <c r="I109" s="90"/>
      <c r="J109" s="91"/>
      <c r="K109" s="91"/>
      <c r="L109" s="91"/>
    </row>
    <row r="110" spans="4:15" ht="15.75">
      <c r="D110" s="105"/>
      <c r="N110" s="253"/>
      <c r="O110" s="253"/>
    </row>
    <row r="111" spans="4:15" ht="15.75">
      <c r="D111" s="104"/>
      <c r="I111" s="34"/>
      <c r="N111" s="264"/>
      <c r="O111" s="264"/>
    </row>
    <row r="112" spans="14:15" ht="15.75">
      <c r="N112" s="253"/>
      <c r="O112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2015-09-04T07:54:23Z</cp:lastPrinted>
  <dcterms:created xsi:type="dcterms:W3CDTF">2003-07-28T11:27:56Z</dcterms:created>
  <dcterms:modified xsi:type="dcterms:W3CDTF">2015-09-04T12:40:03Z</dcterms:modified>
  <cp:category/>
  <cp:version/>
  <cp:contentType/>
  <cp:contentStatus/>
</cp:coreProperties>
</file>